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4560" windowHeight="16360" tabRatio="500"/>
  </bookViews>
  <sheets>
    <sheet name="POSITIONS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08" i="1"/>
  <c r="I108"/>
  <c r="H107"/>
  <c r="I107"/>
  <c r="N105"/>
  <c r="N103"/>
  <c r="D103"/>
  <c r="H103"/>
  <c r="I103"/>
  <c r="N101"/>
  <c r="D101"/>
  <c r="H101"/>
  <c r="I101"/>
  <c r="N99"/>
  <c r="D99"/>
  <c r="H99"/>
  <c r="I99"/>
  <c r="N97"/>
  <c r="H97"/>
  <c r="I97"/>
  <c r="N95"/>
  <c r="H95"/>
  <c r="I95"/>
  <c r="N93"/>
  <c r="D93"/>
  <c r="H93"/>
  <c r="I93"/>
  <c r="N91"/>
  <c r="D91"/>
  <c r="H91"/>
  <c r="I91"/>
  <c r="N88"/>
  <c r="D88"/>
  <c r="H88"/>
  <c r="I88"/>
  <c r="D86"/>
  <c r="H86"/>
  <c r="I86"/>
  <c r="N84"/>
  <c r="H84"/>
  <c r="I84"/>
  <c r="N82"/>
  <c r="D82"/>
  <c r="H82"/>
  <c r="I82"/>
  <c r="N80"/>
  <c r="D80"/>
  <c r="H80"/>
  <c r="I80"/>
  <c r="N78"/>
  <c r="D78"/>
  <c r="H78"/>
  <c r="I78"/>
  <c r="N76"/>
  <c r="H76"/>
  <c r="I76"/>
  <c r="N74"/>
  <c r="H74"/>
  <c r="I74"/>
  <c r="N72"/>
  <c r="H72"/>
  <c r="I72"/>
  <c r="N70"/>
  <c r="H70"/>
  <c r="I70"/>
  <c r="N66"/>
  <c r="H66"/>
  <c r="I66"/>
  <c r="N64"/>
  <c r="H64"/>
  <c r="I64"/>
  <c r="N62"/>
  <c r="H62"/>
  <c r="I62"/>
  <c r="N60"/>
  <c r="H60"/>
  <c r="I60"/>
  <c r="N58"/>
  <c r="D58"/>
  <c r="H58"/>
  <c r="I58"/>
  <c r="N56"/>
  <c r="O56"/>
  <c r="H56"/>
  <c r="I56"/>
  <c r="N54"/>
  <c r="O54"/>
  <c r="H54"/>
  <c r="I54"/>
  <c r="N52"/>
  <c r="O52"/>
  <c r="H52"/>
  <c r="I52"/>
  <c r="N50"/>
  <c r="H50"/>
  <c r="I50"/>
  <c r="N48"/>
  <c r="N47"/>
  <c r="O48"/>
  <c r="H47"/>
  <c r="I47"/>
  <c r="N45"/>
  <c r="H45"/>
  <c r="I45"/>
  <c r="N43"/>
  <c r="D43"/>
  <c r="H43"/>
  <c r="I43"/>
  <c r="N41"/>
  <c r="N40"/>
  <c r="O41"/>
  <c r="H40"/>
  <c r="I40"/>
  <c r="N38"/>
  <c r="H38"/>
  <c r="I38"/>
  <c r="N36"/>
  <c r="O36"/>
  <c r="H36"/>
  <c r="I36"/>
  <c r="N34"/>
  <c r="O34"/>
  <c r="H34"/>
  <c r="I34"/>
  <c r="N32"/>
  <c r="N27"/>
  <c r="N28"/>
  <c r="N29"/>
  <c r="N30"/>
  <c r="N31"/>
  <c r="P31"/>
  <c r="H28"/>
  <c r="I28"/>
  <c r="H27"/>
  <c r="I27"/>
  <c r="N25"/>
  <c r="O25"/>
  <c r="H25"/>
  <c r="I25"/>
  <c r="N23"/>
  <c r="N20"/>
  <c r="N21"/>
  <c r="N22"/>
  <c r="P22"/>
  <c r="H21"/>
  <c r="I21"/>
  <c r="H20"/>
  <c r="I20"/>
  <c r="N18"/>
  <c r="N17"/>
  <c r="O18"/>
  <c r="H18"/>
  <c r="I18"/>
  <c r="H17"/>
  <c r="I17"/>
  <c r="N15"/>
  <c r="O15"/>
  <c r="H15"/>
  <c r="I15"/>
  <c r="N13"/>
  <c r="O13"/>
  <c r="H13"/>
  <c r="I13"/>
  <c r="N11"/>
  <c r="N10"/>
  <c r="O11"/>
  <c r="H11"/>
  <c r="I11"/>
  <c r="D10"/>
  <c r="H10"/>
  <c r="I10"/>
  <c r="N8"/>
  <c r="O8"/>
  <c r="H8"/>
  <c r="I8"/>
  <c r="N6"/>
  <c r="O6"/>
  <c r="H6"/>
  <c r="I6"/>
  <c r="D6"/>
</calcChain>
</file>

<file path=xl/sharedStrings.xml><?xml version="1.0" encoding="utf-8"?>
<sst xmlns="http://schemas.openxmlformats.org/spreadsheetml/2006/main" count="78" uniqueCount="73">
  <si>
    <t>SPY</t>
    <phoneticPr fontId="0" type="noConversion"/>
  </si>
  <si>
    <t>DBE</t>
    <phoneticPr fontId="0" type="noConversion"/>
  </si>
  <si>
    <t>BAL</t>
    <phoneticPr fontId="0" type="noConversion"/>
  </si>
  <si>
    <t>SLV</t>
    <phoneticPr fontId="0" type="noConversion"/>
  </si>
  <si>
    <t>EUR/USD</t>
    <phoneticPr fontId="0" type="noConversion"/>
  </si>
  <si>
    <t>GLD</t>
    <phoneticPr fontId="0" type="noConversion"/>
  </si>
  <si>
    <t>DBE</t>
    <phoneticPr fontId="0" type="noConversion"/>
  </si>
  <si>
    <t>NZD/JPY</t>
    <phoneticPr fontId="0" type="noConversion"/>
  </si>
  <si>
    <t>SGG</t>
    <phoneticPr fontId="0" type="noConversion"/>
  </si>
  <si>
    <t>GREK</t>
    <phoneticPr fontId="0" type="noConversion"/>
  </si>
  <si>
    <t>DBA</t>
    <phoneticPr fontId="0" type="noConversion"/>
  </si>
  <si>
    <t>SPY</t>
    <phoneticPr fontId="0" type="noConversion"/>
  </si>
  <si>
    <t>RWX</t>
    <phoneticPr fontId="0" type="noConversion"/>
  </si>
  <si>
    <t>EUR/USD</t>
    <phoneticPr fontId="0" type="noConversion"/>
  </si>
  <si>
    <t>WIP</t>
    <phoneticPr fontId="0" type="noConversion"/>
  </si>
  <si>
    <t>FAN</t>
    <phoneticPr fontId="0" type="noConversion"/>
  </si>
  <si>
    <t>USD/JPY</t>
    <phoneticPr fontId="0" type="noConversion"/>
  </si>
  <si>
    <t>USD/JPY</t>
    <phoneticPr fontId="0" type="noConversion"/>
  </si>
  <si>
    <t>PGJ</t>
    <phoneticPr fontId="0" type="noConversion"/>
  </si>
  <si>
    <t>Closed GREK, SPY, IYR in anticipation of beginning work at hedge fund</t>
    <phoneticPr fontId="0" type="noConversion"/>
  </si>
  <si>
    <t>Position Tracking</t>
    <phoneticPr fontId="0" type="noConversion"/>
  </si>
  <si>
    <t>Equity Round Trip</t>
    <phoneticPr fontId="0" type="noConversion"/>
  </si>
  <si>
    <t>FX Round Trip</t>
    <phoneticPr fontId="0" type="noConversion"/>
  </si>
  <si>
    <t>Date</t>
    <phoneticPr fontId="0" type="noConversion"/>
  </si>
  <si>
    <t>Underlying</t>
    <phoneticPr fontId="0" type="noConversion"/>
  </si>
  <si>
    <t>Entry</t>
    <phoneticPr fontId="0" type="noConversion"/>
  </si>
  <si>
    <t>Initial Stop</t>
    <phoneticPr fontId="0" type="noConversion"/>
  </si>
  <si>
    <t>2nd Pos. Stop</t>
    <phoneticPr fontId="0" type="noConversion"/>
  </si>
  <si>
    <t>ATR Size</t>
    <phoneticPr fontId="0" type="noConversion"/>
  </si>
  <si>
    <t>Size</t>
    <phoneticPr fontId="0" type="noConversion"/>
  </si>
  <si>
    <t>Initial Risk</t>
    <phoneticPr fontId="0" type="noConversion"/>
  </si>
  <si>
    <t>Risk %</t>
    <phoneticPr fontId="0" type="noConversion"/>
  </si>
  <si>
    <t>Exit</t>
    <phoneticPr fontId="0" type="noConversion"/>
  </si>
  <si>
    <t>Date</t>
    <phoneticPr fontId="0" type="noConversion"/>
  </si>
  <si>
    <t>Quantity</t>
    <phoneticPr fontId="0" type="noConversion"/>
  </si>
  <si>
    <t>P/L</t>
    <phoneticPr fontId="0" type="noConversion"/>
  </si>
  <si>
    <t>Position P/L</t>
    <phoneticPr fontId="0" type="noConversion"/>
  </si>
  <si>
    <t>EUR/JPY</t>
    <phoneticPr fontId="0" type="noConversion"/>
  </si>
  <si>
    <t>55/28</t>
    <phoneticPr fontId="0" type="noConversion"/>
  </si>
  <si>
    <t>USD/JPY</t>
    <phoneticPr fontId="0" type="noConversion"/>
  </si>
  <si>
    <t>USD/JPY</t>
    <phoneticPr fontId="0" type="noConversion"/>
  </si>
  <si>
    <t>55/28</t>
    <phoneticPr fontId="0" type="noConversion"/>
  </si>
  <si>
    <t>NZD/USD</t>
    <phoneticPr fontId="0" type="noConversion"/>
  </si>
  <si>
    <t>55/28</t>
    <phoneticPr fontId="0" type="noConversion"/>
  </si>
  <si>
    <t>NZD/USD</t>
    <phoneticPr fontId="0" type="noConversion"/>
  </si>
  <si>
    <t>Pyramid</t>
    <phoneticPr fontId="0" type="noConversion"/>
  </si>
  <si>
    <t>AOS</t>
    <phoneticPr fontId="0" type="noConversion"/>
  </si>
  <si>
    <t>COV</t>
    <phoneticPr fontId="0" type="noConversion"/>
  </si>
  <si>
    <t>EUR/USD</t>
    <phoneticPr fontId="0" type="noConversion"/>
  </si>
  <si>
    <t>55/28</t>
    <phoneticPr fontId="0" type="noConversion"/>
  </si>
  <si>
    <t>EUR/USD</t>
    <phoneticPr fontId="0" type="noConversion"/>
  </si>
  <si>
    <t>Pyramid</t>
    <phoneticPr fontId="0" type="noConversion"/>
  </si>
  <si>
    <t>NZD/JPY</t>
    <phoneticPr fontId="0" type="noConversion"/>
  </si>
  <si>
    <t>55/28</t>
    <phoneticPr fontId="0" type="noConversion"/>
  </si>
  <si>
    <t>NZD/JPY</t>
    <phoneticPr fontId="0" type="noConversion"/>
  </si>
  <si>
    <t>BAL</t>
    <phoneticPr fontId="0" type="noConversion"/>
  </si>
  <si>
    <t>Pyramid</t>
    <phoneticPr fontId="0" type="noConversion"/>
  </si>
  <si>
    <t>USD/CHF</t>
    <phoneticPr fontId="0" type="noConversion"/>
  </si>
  <si>
    <t>USD/CHF</t>
    <phoneticPr fontId="0" type="noConversion"/>
  </si>
  <si>
    <t>WIP</t>
    <phoneticPr fontId="0" type="noConversion"/>
  </si>
  <si>
    <t>IYR</t>
    <phoneticPr fontId="0" type="noConversion"/>
  </si>
  <si>
    <t>SPY</t>
    <phoneticPr fontId="0" type="noConversion"/>
  </si>
  <si>
    <t>GREK</t>
    <phoneticPr fontId="0" type="noConversion"/>
  </si>
  <si>
    <t>BAL</t>
    <phoneticPr fontId="0" type="noConversion"/>
  </si>
  <si>
    <t>DBE</t>
    <phoneticPr fontId="0" type="noConversion"/>
  </si>
  <si>
    <t>USD/CHF</t>
    <phoneticPr fontId="0" type="noConversion"/>
  </si>
  <si>
    <t>USD/CHF</t>
    <phoneticPr fontId="0" type="noConversion"/>
  </si>
  <si>
    <t>EUR/USD</t>
    <phoneticPr fontId="0" type="noConversion"/>
  </si>
  <si>
    <t>Increased notional account size from 9,500 to 11,000, also increased risk from .8% to .9%</t>
    <phoneticPr fontId="0" type="noConversion"/>
  </si>
  <si>
    <t>IEF</t>
    <phoneticPr fontId="0" type="noConversion"/>
  </si>
  <si>
    <t>WIP</t>
    <phoneticPr fontId="0" type="noConversion"/>
  </si>
  <si>
    <t>SPY</t>
    <phoneticPr fontId="0" type="noConversion"/>
  </si>
  <si>
    <t>USD/CHF</t>
    <phoneticPr fontId="0" type="noConversion"/>
  </si>
</sst>
</file>

<file path=xl/styles.xml><?xml version="1.0" encoding="utf-8"?>
<styleSheet xmlns="http://schemas.openxmlformats.org/spreadsheetml/2006/main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.0000_);_(* \(#,##0.0000\);_(* &quot;-&quot;????_);_(@_)"/>
    <numFmt numFmtId="167" formatCode="0.0000"/>
    <numFmt numFmtId="168" formatCode="#,##0.0000_);\(#,##0.0000\)"/>
    <numFmt numFmtId="169" formatCode="0.000%"/>
  </numFmts>
  <fonts count="2">
    <font>
      <sz val="10"/>
      <name val="Arial"/>
      <family val="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3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0" borderId="0" xfId="0" applyNumberFormat="1"/>
    <xf numFmtId="0" fontId="0" fillId="3" borderId="0" xfId="0" applyFill="1"/>
    <xf numFmtId="0" fontId="0" fillId="4" borderId="0" xfId="0" applyFill="1"/>
    <xf numFmtId="167" fontId="0" fillId="4" borderId="0" xfId="0" applyNumberFormat="1" applyFill="1"/>
    <xf numFmtId="43" fontId="0" fillId="4" borderId="0" xfId="0" applyNumberFormat="1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10"/>
  <sheetViews>
    <sheetView tabSelected="1" topLeftCell="A23" workbookViewId="0">
      <selection activeCell="E75" sqref="E75"/>
    </sheetView>
  </sheetViews>
  <sheetFormatPr baseColWidth="10" defaultRowHeight="12"/>
  <cols>
    <col min="14" max="15" width="10.83203125" style="1"/>
  </cols>
  <sheetData>
    <row r="1" spans="1:15">
      <c r="A1" t="s">
        <v>20</v>
      </c>
    </row>
    <row r="2" spans="1:15">
      <c r="A2">
        <v>10</v>
      </c>
      <c r="B2" t="s">
        <v>21</v>
      </c>
    </row>
    <row r="3" spans="1:15">
      <c r="A3">
        <v>2</v>
      </c>
      <c r="B3" t="s">
        <v>22</v>
      </c>
    </row>
    <row r="5" spans="1:15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K5" t="s">
        <v>32</v>
      </c>
      <c r="L5" t="s">
        <v>33</v>
      </c>
      <c r="M5" t="s">
        <v>34</v>
      </c>
      <c r="N5" s="1" t="s">
        <v>35</v>
      </c>
      <c r="O5" s="1" t="s">
        <v>36</v>
      </c>
    </row>
    <row r="6" spans="1:15">
      <c r="A6" s="2">
        <v>39707</v>
      </c>
      <c r="B6" s="3" t="s">
        <v>37</v>
      </c>
      <c r="C6">
        <v>102.76</v>
      </c>
      <c r="D6">
        <f>C6-(F6*0.86)</f>
        <v>100.61</v>
      </c>
      <c r="F6">
        <v>2.5</v>
      </c>
      <c r="G6">
        <v>2000</v>
      </c>
      <c r="H6" s="1">
        <f>43+1.15+1.15</f>
        <v>45.3</v>
      </c>
      <c r="I6" s="4">
        <f>H6/9500</f>
        <v>4.7684210526315789E-3</v>
      </c>
      <c r="J6" t="s">
        <v>38</v>
      </c>
      <c r="K6">
        <v>100.60899999999999</v>
      </c>
      <c r="L6" s="2">
        <v>39714</v>
      </c>
      <c r="M6" s="2"/>
      <c r="N6" s="1">
        <f>((K6-C6)*G6)/100</f>
        <v>-43.020000000000209</v>
      </c>
      <c r="O6" s="1">
        <f>N6</f>
        <v>-43.020000000000209</v>
      </c>
    </row>
    <row r="7" spans="1:15">
      <c r="A7" s="2"/>
      <c r="H7" s="1"/>
      <c r="I7" s="4"/>
    </row>
    <row r="8" spans="1:15">
      <c r="A8" s="2">
        <v>39707</v>
      </c>
      <c r="B8" s="3" t="s">
        <v>40</v>
      </c>
      <c r="C8">
        <v>78.379000000000005</v>
      </c>
      <c r="D8">
        <v>79.48</v>
      </c>
      <c r="F8">
        <v>2.5</v>
      </c>
      <c r="G8">
        <v>4000</v>
      </c>
      <c r="H8" s="1">
        <f>44.04+2.3</f>
        <v>46.339999999999996</v>
      </c>
      <c r="I8" s="4">
        <f>H8/9500</f>
        <v>4.8778947368421045E-3</v>
      </c>
      <c r="J8" t="s">
        <v>41</v>
      </c>
      <c r="K8">
        <v>79.221999999999994</v>
      </c>
      <c r="L8" s="2">
        <v>39677</v>
      </c>
      <c r="M8" s="2"/>
      <c r="N8" s="1">
        <f>(C8-K8)*(G8/100)-$A$3</f>
        <v>-35.719999999999573</v>
      </c>
      <c r="O8" s="1">
        <f>N8</f>
        <v>-35.719999999999573</v>
      </c>
    </row>
    <row r="9" spans="1:15">
      <c r="A9" s="2"/>
      <c r="H9" s="1"/>
      <c r="I9" s="4"/>
    </row>
    <row r="10" spans="1:15">
      <c r="A10" s="2">
        <v>39709</v>
      </c>
      <c r="B10" s="3" t="s">
        <v>42</v>
      </c>
      <c r="C10">
        <v>0.82923999999999998</v>
      </c>
      <c r="D10">
        <f>0.82924-(F10*0.0069)</f>
        <v>0.81198999999999999</v>
      </c>
      <c r="E10">
        <v>0.81610000000000005</v>
      </c>
      <c r="F10">
        <v>2.5</v>
      </c>
      <c r="G10">
        <v>4000</v>
      </c>
      <c r="H10" s="1">
        <f>(C10-D10)*G10</f>
        <v>68.999999999999943</v>
      </c>
      <c r="I10" s="4">
        <f>H10/9500</f>
        <v>7.263157894736836E-3</v>
      </c>
      <c r="J10" t="s">
        <v>43</v>
      </c>
      <c r="K10">
        <v>0.81605000000000005</v>
      </c>
      <c r="L10" s="2">
        <v>39725</v>
      </c>
      <c r="M10" s="2"/>
      <c r="N10" s="1">
        <f>((K10-C10)*G10)</f>
        <v>-52.759999999999692</v>
      </c>
    </row>
    <row r="11" spans="1:15">
      <c r="A11" s="2">
        <v>39717</v>
      </c>
      <c r="B11" s="3" t="s">
        <v>44</v>
      </c>
      <c r="C11">
        <v>0.83530000000000004</v>
      </c>
      <c r="D11">
        <v>0.81610000000000005</v>
      </c>
      <c r="F11">
        <v>2.5</v>
      </c>
      <c r="G11">
        <v>4000</v>
      </c>
      <c r="H11" s="1">
        <f>((C11-D11)*G11)+((C10-E10)*G10)</f>
        <v>129.3599999999997</v>
      </c>
      <c r="I11" s="4">
        <f>H11/9500</f>
        <v>1.3616842105263127E-2</v>
      </c>
      <c r="J11" t="s">
        <v>45</v>
      </c>
      <c r="K11">
        <v>0.81605000000000005</v>
      </c>
      <c r="L11" s="2">
        <v>39725</v>
      </c>
      <c r="M11" s="2"/>
      <c r="N11" s="1">
        <f>((K11-C11)*G11)</f>
        <v>-76.999999999999957</v>
      </c>
      <c r="O11" s="1">
        <f>N11+N10</f>
        <v>-129.75999999999965</v>
      </c>
    </row>
    <row r="12" spans="1:15">
      <c r="H12" s="1"/>
    </row>
    <row r="13" spans="1:15">
      <c r="A13" s="2">
        <v>39725</v>
      </c>
      <c r="B13" s="3" t="s">
        <v>46</v>
      </c>
      <c r="C13">
        <v>58.93</v>
      </c>
      <c r="D13">
        <v>56.13</v>
      </c>
      <c r="F13">
        <v>2.5</v>
      </c>
      <c r="G13">
        <v>25</v>
      </c>
      <c r="H13" s="1">
        <f>(C13-D13)*G13+$A$2</f>
        <v>79.999999999999929</v>
      </c>
      <c r="I13" s="4">
        <f>H13/9500</f>
        <v>8.4210526315789402E-3</v>
      </c>
      <c r="K13">
        <v>56.12</v>
      </c>
      <c r="L13" s="2">
        <v>39731</v>
      </c>
      <c r="M13" s="2"/>
      <c r="N13" s="1">
        <f>((K13-C13)*G13)-$A$2</f>
        <v>-80.250000000000057</v>
      </c>
      <c r="O13" s="1">
        <f>+N13</f>
        <v>-80.250000000000057</v>
      </c>
    </row>
    <row r="14" spans="1:15">
      <c r="H14" s="1"/>
    </row>
    <row r="15" spans="1:15">
      <c r="A15" s="2">
        <v>39725</v>
      </c>
      <c r="B15" s="3" t="s">
        <v>47</v>
      </c>
      <c r="C15">
        <v>60.58</v>
      </c>
      <c r="D15">
        <v>58.68</v>
      </c>
      <c r="F15">
        <v>2.5</v>
      </c>
      <c r="G15">
        <v>36</v>
      </c>
      <c r="H15" s="1">
        <f>(C15-D15)*G15+$A$2</f>
        <v>78.399999999999949</v>
      </c>
      <c r="I15" s="4">
        <f>H15/9500</f>
        <v>8.2526315789473639E-3</v>
      </c>
      <c r="K15">
        <v>58.41</v>
      </c>
      <c r="L15" s="2">
        <v>39729</v>
      </c>
      <c r="M15" s="2"/>
      <c r="N15" s="1">
        <f>((K15-C15)*G15)-$A$2</f>
        <v>-88.120000000000061</v>
      </c>
      <c r="O15" s="1">
        <f>+N15</f>
        <v>-88.120000000000061</v>
      </c>
    </row>
    <row r="16" spans="1:15">
      <c r="H16" s="1"/>
    </row>
    <row r="17" spans="1:16">
      <c r="A17" s="2">
        <v>39732</v>
      </c>
      <c r="B17" s="3" t="s">
        <v>48</v>
      </c>
      <c r="C17">
        <v>1.2975000000000001</v>
      </c>
      <c r="D17">
        <v>1.2682</v>
      </c>
      <c r="E17">
        <v>1.2767999999999999</v>
      </c>
      <c r="F17">
        <v>3</v>
      </c>
      <c r="G17">
        <v>2000</v>
      </c>
      <c r="H17" s="1">
        <f>(C17-D17)*G17+$A$3</f>
        <v>60.600000000000207</v>
      </c>
      <c r="I17" s="4">
        <f>H17/9500</f>
        <v>6.3789473684210743E-3</v>
      </c>
      <c r="J17" t="s">
        <v>49</v>
      </c>
      <c r="K17">
        <v>1.28033</v>
      </c>
      <c r="N17" s="1">
        <f>((K17-C17)*G17)</f>
        <v>-34.340000000000259</v>
      </c>
    </row>
    <row r="18" spans="1:16">
      <c r="A18" s="2">
        <v>39737</v>
      </c>
      <c r="B18" s="3" t="s">
        <v>50</v>
      </c>
      <c r="C18">
        <v>1.31264</v>
      </c>
      <c r="D18">
        <v>1.2767999999999999</v>
      </c>
      <c r="G18">
        <v>2000</v>
      </c>
      <c r="H18" s="1">
        <f>((C18-D18)*G18)+((C17-E17)*G17)+(1.5*$A$3)</f>
        <v>116.08000000000052</v>
      </c>
      <c r="I18" s="4">
        <f>H18/9500</f>
        <v>1.2218947368421107E-2</v>
      </c>
      <c r="J18" t="s">
        <v>51</v>
      </c>
      <c r="K18">
        <v>1.28033</v>
      </c>
      <c r="L18" s="2">
        <v>39695</v>
      </c>
      <c r="M18" s="2"/>
      <c r="N18" s="1">
        <f>((K18-C18)*G18)</f>
        <v>-64.620000000000118</v>
      </c>
      <c r="O18" s="1">
        <f>N18+N17</f>
        <v>-98.960000000000377</v>
      </c>
    </row>
    <row r="19" spans="1:16">
      <c r="H19" s="1"/>
    </row>
    <row r="20" spans="1:16">
      <c r="A20" s="2">
        <v>39737</v>
      </c>
      <c r="B20" s="5" t="s">
        <v>52</v>
      </c>
      <c r="C20">
        <v>64.507000000000005</v>
      </c>
      <c r="D20">
        <v>63.095999999999997</v>
      </c>
      <c r="E20">
        <v>63.515000000000001</v>
      </c>
      <c r="F20">
        <v>3</v>
      </c>
      <c r="G20">
        <v>4000</v>
      </c>
      <c r="H20" s="1">
        <f>(C20-D20)*(G20/100)+$A$3</f>
        <v>58.440000000000339</v>
      </c>
      <c r="I20" s="4">
        <f>H20/9500</f>
        <v>6.1515789473684567E-3</v>
      </c>
      <c r="J20" t="s">
        <v>53</v>
      </c>
      <c r="K20">
        <v>69.692999999999998</v>
      </c>
      <c r="L20" s="2">
        <v>39793</v>
      </c>
      <c r="M20">
        <v>4000</v>
      </c>
      <c r="N20" s="1">
        <f>(K20-C20)*(M20/100)-$A$3</f>
        <v>205.43999999999971</v>
      </c>
    </row>
    <row r="21" spans="1:16">
      <c r="A21" s="2">
        <v>39742</v>
      </c>
      <c r="B21" s="5" t="s">
        <v>54</v>
      </c>
      <c r="C21">
        <v>65.37</v>
      </c>
      <c r="D21">
        <v>63.515000000000001</v>
      </c>
      <c r="G21">
        <v>4000</v>
      </c>
      <c r="H21" s="1">
        <f>(((C21-D21)*G21)/100)+(((C20-E20)*G20)/100)+(1.5*$A$3)</f>
        <v>116.88000000000034</v>
      </c>
      <c r="I21" s="4">
        <f>H21/9500</f>
        <v>1.2303157894736877E-2</v>
      </c>
      <c r="J21" t="s">
        <v>45</v>
      </c>
      <c r="K21">
        <v>70.902000000000001</v>
      </c>
      <c r="L21" s="2">
        <v>39797</v>
      </c>
      <c r="M21">
        <v>1000</v>
      </c>
      <c r="N21" s="1">
        <f>(K21-C21)*(M21/100)-$A$3</f>
        <v>53.319999999999965</v>
      </c>
    </row>
    <row r="22" spans="1:16">
      <c r="A22" s="2"/>
      <c r="H22" s="1"/>
      <c r="I22" s="4"/>
      <c r="K22">
        <v>72.885000000000005</v>
      </c>
      <c r="L22" s="2">
        <v>39814</v>
      </c>
      <c r="M22">
        <v>1000</v>
      </c>
      <c r="N22" s="1">
        <f>(K22-C21)*(M22/100)-$A$3</f>
        <v>73.150000000000006</v>
      </c>
      <c r="P22" s="1">
        <f>SUM(N20:N23)</f>
        <v>495.90999999999957</v>
      </c>
    </row>
    <row r="23" spans="1:16">
      <c r="A23" s="2"/>
      <c r="H23" s="1"/>
      <c r="K23">
        <v>81.97</v>
      </c>
      <c r="L23" s="2">
        <v>39954</v>
      </c>
      <c r="M23">
        <v>1000</v>
      </c>
      <c r="N23" s="1">
        <f>(K23-C21)*(M23/100)-$A$3</f>
        <v>163.99999999999994</v>
      </c>
    </row>
    <row r="24" spans="1:16">
      <c r="A24" s="2"/>
      <c r="H24" s="1"/>
    </row>
    <row r="25" spans="1:16">
      <c r="A25" s="2">
        <v>39737</v>
      </c>
      <c r="B25" s="3" t="s">
        <v>55</v>
      </c>
      <c r="C25">
        <v>51.11</v>
      </c>
      <c r="D25">
        <v>48.17</v>
      </c>
      <c r="F25">
        <v>3</v>
      </c>
      <c r="G25">
        <v>33</v>
      </c>
      <c r="H25" s="1">
        <f>((C25-D25)*G25)+$A$2</f>
        <v>107.01999999999992</v>
      </c>
      <c r="I25" s="4">
        <f>H25/9500</f>
        <v>1.126526315789473E-2</v>
      </c>
      <c r="K25">
        <v>48.17</v>
      </c>
      <c r="L25" s="2">
        <v>39744</v>
      </c>
      <c r="M25" s="2"/>
      <c r="N25" s="1">
        <f>((K25-C25)*G25)-$A$2</f>
        <v>-107.01999999999992</v>
      </c>
      <c r="O25" s="1">
        <f>+N25</f>
        <v>-107.01999999999992</v>
      </c>
    </row>
    <row r="26" spans="1:16">
      <c r="H26" s="1"/>
    </row>
    <row r="27" spans="1:16">
      <c r="A27" s="2">
        <v>39742</v>
      </c>
      <c r="B27" s="5" t="s">
        <v>39</v>
      </c>
      <c r="C27">
        <v>79.662000000000006</v>
      </c>
      <c r="D27">
        <v>78.400000000000006</v>
      </c>
      <c r="E27">
        <v>78.97</v>
      </c>
      <c r="F27">
        <v>3</v>
      </c>
      <c r="G27">
        <v>6000</v>
      </c>
      <c r="H27" s="1">
        <f>(C27-D27)*(G27/100)+$A$3</f>
        <v>77.720000000000027</v>
      </c>
      <c r="I27" s="4">
        <f>H27/9500</f>
        <v>8.18105263157895E-3</v>
      </c>
      <c r="K27">
        <v>82.363</v>
      </c>
      <c r="L27" s="2">
        <v>39787</v>
      </c>
      <c r="M27">
        <v>4000</v>
      </c>
      <c r="N27" s="1">
        <f>(K27-C27)*(M27/100)-$A$3</f>
        <v>106.03999999999974</v>
      </c>
    </row>
    <row r="28" spans="1:16">
      <c r="A28" s="2">
        <v>39745</v>
      </c>
      <c r="B28" s="5" t="s">
        <v>39</v>
      </c>
      <c r="C28">
        <v>80.290000000000006</v>
      </c>
      <c r="D28">
        <v>78.97</v>
      </c>
      <c r="G28">
        <v>6000</v>
      </c>
      <c r="H28" s="1">
        <f>((C28-D28)*(G28/100))+((C27-E27)*(G27/100))+(1.5*$A$3)</f>
        <v>123.72000000000088</v>
      </c>
      <c r="I28" s="4">
        <f>H28/9500</f>
        <v>1.3023157894736934E-2</v>
      </c>
      <c r="J28" t="s">
        <v>56</v>
      </c>
      <c r="K28">
        <v>82.852999999999994</v>
      </c>
      <c r="L28" s="2">
        <v>39793</v>
      </c>
      <c r="M28">
        <v>2000</v>
      </c>
      <c r="N28" s="1">
        <f>(K28-C27)*(M28/100)-$A$3</f>
        <v>61.819999999999766</v>
      </c>
    </row>
    <row r="29" spans="1:16">
      <c r="A29" s="2"/>
      <c r="H29" s="1"/>
      <c r="I29" s="4"/>
      <c r="K29">
        <v>83.968000000000004</v>
      </c>
      <c r="L29" s="2">
        <v>39797</v>
      </c>
      <c r="M29">
        <v>2000</v>
      </c>
      <c r="N29" s="1">
        <f>(K29-C28)*(M29/100)-$A$3</f>
        <v>71.559999999999945</v>
      </c>
    </row>
    <row r="30" spans="1:16">
      <c r="A30" s="2"/>
      <c r="H30" s="1"/>
      <c r="I30" s="4"/>
      <c r="K30">
        <v>87.19</v>
      </c>
      <c r="L30" s="2">
        <v>39814</v>
      </c>
      <c r="M30">
        <v>1000</v>
      </c>
      <c r="N30" s="1">
        <f>(K30-C28)*(M30/100)-$A$3</f>
        <v>66.999999999999915</v>
      </c>
    </row>
    <row r="31" spans="1:16">
      <c r="A31" s="2"/>
      <c r="H31" s="1"/>
      <c r="I31" s="4"/>
      <c r="K31">
        <v>88.224000000000004</v>
      </c>
      <c r="L31" s="2">
        <v>39818</v>
      </c>
      <c r="M31">
        <v>1000</v>
      </c>
      <c r="N31" s="1">
        <f>(K31-C28)*(M31/100)-$A$3</f>
        <v>77.339999999999975</v>
      </c>
      <c r="P31" s="1">
        <f>SUM(N27:N32)</f>
        <v>717.5199999999993</v>
      </c>
    </row>
    <row r="32" spans="1:16">
      <c r="A32" s="2"/>
      <c r="H32" s="1"/>
      <c r="I32" s="4"/>
      <c r="K32">
        <v>97.078000000000003</v>
      </c>
      <c r="L32" s="2">
        <v>39969</v>
      </c>
      <c r="M32">
        <v>2000</v>
      </c>
      <c r="N32" s="1">
        <f>(K32-C28)*(M32/100)-$A$3</f>
        <v>333.75999999999993</v>
      </c>
    </row>
    <row r="33" spans="1:16">
      <c r="H33" s="1"/>
    </row>
    <row r="34" spans="1:16">
      <c r="A34" s="2">
        <v>39794</v>
      </c>
      <c r="B34" s="3" t="s">
        <v>58</v>
      </c>
      <c r="C34">
        <v>0.9214</v>
      </c>
      <c r="D34">
        <v>0.93820000000000003</v>
      </c>
      <c r="F34">
        <v>3</v>
      </c>
      <c r="G34">
        <v>5000</v>
      </c>
      <c r="H34" s="1">
        <f>(D34-C34)*(G34)+$A$3</f>
        <v>86.000000000000185</v>
      </c>
      <c r="I34" s="4">
        <f>H34/9500</f>
        <v>9.0526315789473885E-3</v>
      </c>
      <c r="K34">
        <v>0.93700000000000006</v>
      </c>
      <c r="L34" s="2">
        <v>39829</v>
      </c>
      <c r="M34">
        <v>5000</v>
      </c>
      <c r="N34" s="1">
        <f>(-K34+C34)*(M34)-$A$3</f>
        <v>-80.000000000000284</v>
      </c>
      <c r="O34" s="1">
        <f>N34</f>
        <v>-80.000000000000284</v>
      </c>
    </row>
    <row r="35" spans="1:16">
      <c r="H35" s="1"/>
      <c r="P35" s="1"/>
    </row>
    <row r="36" spans="1:16">
      <c r="A36" s="2">
        <v>39795</v>
      </c>
      <c r="B36" s="5" t="s">
        <v>48</v>
      </c>
      <c r="C36">
        <v>1.31396</v>
      </c>
      <c r="D36">
        <v>1.2892999999999999</v>
      </c>
      <c r="F36">
        <v>3</v>
      </c>
      <c r="G36">
        <v>3000</v>
      </c>
      <c r="H36" s="1">
        <f>(C36-D36)*G36+$A$3</f>
        <v>75.980000000000373</v>
      </c>
      <c r="I36" s="4">
        <f>H36/9500</f>
        <v>7.9978947368421448E-3</v>
      </c>
      <c r="K36">
        <v>1.3254999999999999</v>
      </c>
      <c r="L36" s="2">
        <v>39863</v>
      </c>
      <c r="M36">
        <v>3000</v>
      </c>
      <c r="N36" s="1">
        <f>(-C36+K36)*(G36)-$A$3</f>
        <v>32.619999999999649</v>
      </c>
      <c r="O36" s="1">
        <f>N36</f>
        <v>32.619999999999649</v>
      </c>
    </row>
    <row r="37" spans="1:16">
      <c r="H37" s="1"/>
    </row>
    <row r="38" spans="1:16">
      <c r="A38" s="2">
        <v>39808</v>
      </c>
      <c r="B38" s="3" t="s">
        <v>59</v>
      </c>
      <c r="C38">
        <v>63.319899999999997</v>
      </c>
      <c r="D38">
        <v>62.18</v>
      </c>
      <c r="F38">
        <v>3</v>
      </c>
      <c r="G38">
        <v>50</v>
      </c>
      <c r="H38" s="1">
        <f>(C38-D38)*G38+$A$2</f>
        <v>66.994999999999862</v>
      </c>
      <c r="I38" s="4">
        <f>H38/9500</f>
        <v>7.0521052631578804E-3</v>
      </c>
      <c r="K38">
        <v>62.63</v>
      </c>
      <c r="L38" s="2">
        <v>39862</v>
      </c>
      <c r="M38">
        <v>50</v>
      </c>
      <c r="N38" s="1">
        <f>((K38-C38)*M38)-$A$2</f>
        <v>-44.49499999999972</v>
      </c>
    </row>
    <row r="39" spans="1:16">
      <c r="H39" s="1"/>
    </row>
    <row r="40" spans="1:16">
      <c r="A40" s="2">
        <v>39814</v>
      </c>
      <c r="B40" s="5" t="s">
        <v>60</v>
      </c>
      <c r="C40">
        <v>65.78</v>
      </c>
      <c r="D40">
        <v>63.83</v>
      </c>
      <c r="F40">
        <v>3</v>
      </c>
      <c r="G40">
        <v>45</v>
      </c>
      <c r="H40" s="1">
        <f>(C40-D40)*G40+$A$2</f>
        <v>97.750000000000128</v>
      </c>
      <c r="I40" s="4">
        <f>H40/9500</f>
        <v>1.0289473684210539E-2</v>
      </c>
      <c r="K40">
        <v>68.25</v>
      </c>
      <c r="L40" s="2">
        <v>39840</v>
      </c>
      <c r="M40">
        <v>10</v>
      </c>
      <c r="N40" s="1">
        <f>((K40-C40)*M40)-$A$2</f>
        <v>14.699999999999989</v>
      </c>
    </row>
    <row r="41" spans="1:16">
      <c r="A41" s="2"/>
      <c r="H41" s="1"/>
      <c r="I41" s="4"/>
      <c r="K41">
        <v>74.989999999999995</v>
      </c>
      <c r="L41" s="2">
        <v>39952</v>
      </c>
      <c r="M41">
        <v>35</v>
      </c>
      <c r="N41" s="1">
        <f>((K41-C40)*M41)-$A$2</f>
        <v>312.3499999999998</v>
      </c>
      <c r="O41" s="1">
        <f>+N41+N40</f>
        <v>327.04999999999978</v>
      </c>
    </row>
    <row r="42" spans="1:16">
      <c r="H42" s="1"/>
    </row>
    <row r="43" spans="1:16">
      <c r="A43" s="2">
        <v>39816</v>
      </c>
      <c r="B43" s="5" t="s">
        <v>61</v>
      </c>
      <c r="C43">
        <v>146.56</v>
      </c>
      <c r="D43">
        <f>C43-(3*1.57)</f>
        <v>141.85</v>
      </c>
      <c r="F43">
        <v>3</v>
      </c>
      <c r="G43">
        <v>21</v>
      </c>
      <c r="H43" s="1">
        <f>(C43-D43)*G43+$A$2</f>
        <v>108.91000000000017</v>
      </c>
      <c r="I43" s="4">
        <f>H43/9500</f>
        <v>1.1464210526315808E-2</v>
      </c>
      <c r="K43">
        <v>153.88</v>
      </c>
      <c r="L43" s="2">
        <v>39921</v>
      </c>
      <c r="M43">
        <v>21</v>
      </c>
      <c r="N43" s="1">
        <f>((K43-C43)*M43)-$A$2</f>
        <v>143.71999999999986</v>
      </c>
    </row>
    <row r="44" spans="1:16">
      <c r="H44" s="1"/>
    </row>
    <row r="45" spans="1:16">
      <c r="A45" s="2">
        <v>39819</v>
      </c>
      <c r="B45" s="3" t="s">
        <v>62</v>
      </c>
      <c r="C45">
        <v>19.05</v>
      </c>
      <c r="D45">
        <v>17.440000000000001</v>
      </c>
      <c r="F45">
        <v>3</v>
      </c>
      <c r="G45">
        <v>54</v>
      </c>
      <c r="H45" s="1">
        <f>(C45-D45)*G45+$A$2</f>
        <v>96.939999999999969</v>
      </c>
      <c r="I45" s="4">
        <f>H45/9500</f>
        <v>1.0204210526315786E-2</v>
      </c>
      <c r="K45">
        <v>18.62</v>
      </c>
      <c r="L45" s="2">
        <v>39855</v>
      </c>
      <c r="M45">
        <v>54</v>
      </c>
      <c r="N45" s="1">
        <f>((K45-C45)*M45)-$A$2</f>
        <v>-33.219999999999985</v>
      </c>
    </row>
    <row r="46" spans="1:16">
      <c r="H46" s="1"/>
    </row>
    <row r="47" spans="1:16">
      <c r="A47" s="2">
        <v>39828</v>
      </c>
      <c r="B47" s="5" t="s">
        <v>63</v>
      </c>
      <c r="C47">
        <v>50.39</v>
      </c>
      <c r="D47">
        <v>48.65</v>
      </c>
      <c r="F47">
        <v>3</v>
      </c>
      <c r="G47">
        <v>40</v>
      </c>
      <c r="H47" s="1">
        <f>(C47-D47)*G47+$A$2</f>
        <v>79.60000000000008</v>
      </c>
      <c r="I47" s="4">
        <f>H47/9500</f>
        <v>8.3789473684210605E-3</v>
      </c>
      <c r="K47">
        <v>53.14</v>
      </c>
      <c r="L47" s="2">
        <v>39837</v>
      </c>
      <c r="M47">
        <v>10</v>
      </c>
      <c r="N47" s="1">
        <f>((K47-C47)*M47)-$A$2</f>
        <v>17.5</v>
      </c>
    </row>
    <row r="48" spans="1:16">
      <c r="A48" s="2"/>
      <c r="H48" s="1"/>
      <c r="I48" s="4"/>
      <c r="K48">
        <v>54.75</v>
      </c>
      <c r="L48" s="2">
        <v>39912</v>
      </c>
      <c r="M48">
        <v>30</v>
      </c>
      <c r="N48" s="1">
        <f>((K48-C47)*M48)-$A$2/2</f>
        <v>125.79999999999998</v>
      </c>
      <c r="O48" s="1">
        <f>N48+N47</f>
        <v>143.29999999999998</v>
      </c>
    </row>
    <row r="49" spans="1:15">
      <c r="H49" s="1"/>
    </row>
    <row r="50" spans="1:15">
      <c r="A50" s="2">
        <v>39829</v>
      </c>
      <c r="B50" s="3" t="s">
        <v>64</v>
      </c>
      <c r="C50">
        <v>28.47</v>
      </c>
      <c r="D50">
        <v>27.45</v>
      </c>
      <c r="F50">
        <v>3</v>
      </c>
      <c r="G50">
        <v>65</v>
      </c>
      <c r="H50" s="1">
        <f>(C50-D50)*G50+$A$2</f>
        <v>76.299999999999969</v>
      </c>
      <c r="I50" s="4">
        <f>H50/9500</f>
        <v>8.0315789473684174E-3</v>
      </c>
      <c r="K50">
        <v>28.52</v>
      </c>
      <c r="L50" s="2">
        <v>39871</v>
      </c>
      <c r="M50">
        <v>65</v>
      </c>
      <c r="N50" s="1">
        <f>((K50-C50)*M50)-$A$2</f>
        <v>-6.7499999999999538</v>
      </c>
    </row>
    <row r="51" spans="1:15">
      <c r="H51" s="1"/>
    </row>
    <row r="52" spans="1:15">
      <c r="A52" s="2">
        <v>39842</v>
      </c>
      <c r="B52" s="3" t="s">
        <v>65</v>
      </c>
      <c r="C52">
        <v>0.91076000000000001</v>
      </c>
      <c r="D52">
        <v>0.9294</v>
      </c>
      <c r="F52">
        <v>3</v>
      </c>
      <c r="G52">
        <v>4000</v>
      </c>
      <c r="H52" s="1">
        <f>(D52-C52)*(G52)+$A$3</f>
        <v>76.55999999999996</v>
      </c>
      <c r="I52" s="4">
        <f>H52/9500</f>
        <v>8.0589473684210492E-3</v>
      </c>
      <c r="K52">
        <v>0.9294</v>
      </c>
      <c r="L52" s="2">
        <v>39863</v>
      </c>
      <c r="M52">
        <v>4000</v>
      </c>
      <c r="N52" s="1">
        <f>(-K52+C52)*(M52)-$A$3</f>
        <v>-76.55999999999996</v>
      </c>
      <c r="O52" s="1">
        <f>N52</f>
        <v>-76.55999999999996</v>
      </c>
    </row>
    <row r="53" spans="1:15">
      <c r="H53" s="1"/>
    </row>
    <row r="54" spans="1:15">
      <c r="A54" s="2">
        <v>39872</v>
      </c>
      <c r="B54" s="3" t="s">
        <v>66</v>
      </c>
      <c r="C54">
        <v>0.93879999999999997</v>
      </c>
      <c r="D54">
        <v>0.91900000000000004</v>
      </c>
      <c r="F54">
        <v>3</v>
      </c>
      <c r="G54">
        <v>3000</v>
      </c>
      <c r="H54" s="1">
        <f>(C54-D54)*(G54)+$A$3</f>
        <v>61.399999999999785</v>
      </c>
      <c r="I54" s="4">
        <f>H54/9500</f>
        <v>6.4631578947368191E-3</v>
      </c>
      <c r="K54">
        <v>0.93484999999999996</v>
      </c>
      <c r="L54" s="2">
        <v>39907</v>
      </c>
      <c r="M54">
        <v>3000</v>
      </c>
      <c r="N54" s="1">
        <f>(-C54+K54)*(G54)-$A$3</f>
        <v>-13.850000000000026</v>
      </c>
      <c r="O54" s="1">
        <f>N54</f>
        <v>-13.850000000000026</v>
      </c>
    </row>
    <row r="56" spans="1:15">
      <c r="A56" s="2">
        <v>39872</v>
      </c>
      <c r="B56" s="3" t="s">
        <v>67</v>
      </c>
      <c r="C56">
        <v>1.2997399999999999</v>
      </c>
      <c r="D56">
        <v>1.3360000000000001</v>
      </c>
      <c r="F56">
        <v>3</v>
      </c>
      <c r="G56">
        <v>2000</v>
      </c>
      <c r="H56" s="1">
        <f>(D56-C56)*(G56)+$A$3</f>
        <v>74.520000000000366</v>
      </c>
      <c r="I56" s="4">
        <f>H56/9500</f>
        <v>7.8442105263158285E-3</v>
      </c>
      <c r="K56">
        <v>1.31349</v>
      </c>
      <c r="L56" s="2">
        <v>39913</v>
      </c>
      <c r="M56">
        <v>2000</v>
      </c>
      <c r="N56" s="1">
        <f>(-K56+C56)*(M56)-$A$3</f>
        <v>-29.500000000000302</v>
      </c>
      <c r="O56" s="1">
        <f>N56</f>
        <v>-29.500000000000302</v>
      </c>
    </row>
    <row r="57" spans="1:15">
      <c r="A57" s="6" t="s">
        <v>68</v>
      </c>
      <c r="B57" s="6"/>
      <c r="C57" s="6"/>
      <c r="D57" s="6"/>
      <c r="E57" s="7"/>
      <c r="F57" s="6"/>
      <c r="G57" s="6"/>
      <c r="H57" s="6"/>
      <c r="I57" s="6"/>
      <c r="J57" s="6"/>
      <c r="K57" s="6"/>
      <c r="L57" s="6"/>
      <c r="M57" s="6"/>
      <c r="N57" s="8"/>
      <c r="O57" s="8"/>
    </row>
    <row r="58" spans="1:15">
      <c r="A58" s="2">
        <v>39903</v>
      </c>
      <c r="B58" s="5" t="s">
        <v>69</v>
      </c>
      <c r="C58">
        <v>107.44</v>
      </c>
      <c r="D58">
        <f>107.44-(3*0.36)</f>
        <v>106.36</v>
      </c>
      <c r="F58">
        <v>3</v>
      </c>
      <c r="G58">
        <v>65</v>
      </c>
      <c r="H58" s="1">
        <f>(C58-D58)*G58+$A$2</f>
        <v>80.199999999999889</v>
      </c>
      <c r="I58" s="4">
        <f>H58/11000</f>
        <v>7.2909090909090805E-3</v>
      </c>
      <c r="K58">
        <v>107.72</v>
      </c>
      <c r="L58" s="2">
        <v>39942</v>
      </c>
      <c r="M58">
        <v>65</v>
      </c>
      <c r="N58" s="1">
        <f>((K58-C58)*M58)-$A$2</f>
        <v>8.2000000000000739</v>
      </c>
    </row>
    <row r="59" spans="1:15">
      <c r="L59" s="2"/>
    </row>
    <row r="60" spans="1:15">
      <c r="A60" s="2">
        <v>39931</v>
      </c>
      <c r="B60" s="3" t="s">
        <v>70</v>
      </c>
      <c r="C60">
        <v>63.64</v>
      </c>
      <c r="D60">
        <v>62.68</v>
      </c>
      <c r="F60">
        <v>3</v>
      </c>
      <c r="G60">
        <v>80</v>
      </c>
      <c r="H60" s="1">
        <f>(C60-D60)*G60+$A$2</f>
        <v>86.800000000000068</v>
      </c>
      <c r="I60" s="4">
        <f>H60/11000</f>
        <v>7.8909090909090977E-3</v>
      </c>
      <c r="K60">
        <v>62.63</v>
      </c>
      <c r="L60" s="2">
        <v>39942</v>
      </c>
      <c r="M60">
        <v>80</v>
      </c>
      <c r="N60" s="1">
        <f>((K60-C60)*M60)-$A$2</f>
        <v>-90.799999999999841</v>
      </c>
    </row>
    <row r="62" spans="1:15">
      <c r="A62" s="2">
        <v>39932</v>
      </c>
      <c r="B62" s="5" t="s">
        <v>71</v>
      </c>
      <c r="C62">
        <v>159.65</v>
      </c>
      <c r="D62">
        <v>154.55000000000001</v>
      </c>
      <c r="F62">
        <v>3</v>
      </c>
      <c r="G62">
        <v>15</v>
      </c>
      <c r="H62" s="1">
        <f>(C62-D62)*G62+$A$2</f>
        <v>86.499999999999915</v>
      </c>
      <c r="I62" s="4">
        <f>H62/11000</f>
        <v>7.8636363636363556E-3</v>
      </c>
      <c r="K62">
        <v>166.81</v>
      </c>
      <c r="L62" s="2">
        <v>39952</v>
      </c>
      <c r="M62">
        <v>15</v>
      </c>
      <c r="N62" s="1">
        <f>((K62-C62)*M62)-$A$2</f>
        <v>97.399999999999949</v>
      </c>
    </row>
    <row r="64" spans="1:15">
      <c r="A64" s="2">
        <v>39940</v>
      </c>
      <c r="B64" s="5" t="s">
        <v>62</v>
      </c>
      <c r="C64">
        <v>19.34</v>
      </c>
      <c r="D64">
        <v>17.57</v>
      </c>
      <c r="F64">
        <v>3</v>
      </c>
      <c r="G64">
        <v>40</v>
      </c>
      <c r="H64" s="1">
        <f>(C64-D64)*G64+$A$2</f>
        <v>80.799999999999983</v>
      </c>
      <c r="I64" s="4">
        <f>H64/11000</f>
        <v>7.3454545454545439E-3</v>
      </c>
      <c r="K64">
        <v>20.39</v>
      </c>
      <c r="L64" s="2">
        <v>39952</v>
      </c>
      <c r="M64">
        <v>40</v>
      </c>
      <c r="N64" s="1">
        <f>((K64-C64)*M64)-$A$2</f>
        <v>32.000000000000028</v>
      </c>
    </row>
    <row r="66" spans="1:14">
      <c r="A66" s="2">
        <v>39942</v>
      </c>
      <c r="B66" s="3" t="s">
        <v>72</v>
      </c>
      <c r="C66">
        <v>0.95677999999999996</v>
      </c>
      <c r="D66">
        <v>0.93130000000000002</v>
      </c>
      <c r="F66">
        <v>3</v>
      </c>
      <c r="G66">
        <v>4000</v>
      </c>
      <c r="H66" s="1">
        <f>(C66-D66)*G66+$A$3</f>
        <v>103.91999999999979</v>
      </c>
      <c r="I66" s="4">
        <f>H66/11000</f>
        <v>9.4472727272727087E-3</v>
      </c>
      <c r="K66">
        <v>0.93128</v>
      </c>
      <c r="L66" s="2">
        <v>39969</v>
      </c>
      <c r="M66">
        <v>4000</v>
      </c>
      <c r="N66" s="1">
        <f>(-C66+K66)*(G66)-$A$3</f>
        <v>-103.99999999999987</v>
      </c>
    </row>
    <row r="68" spans="1:14">
      <c r="A68" t="s">
        <v>19</v>
      </c>
    </row>
    <row r="70" spans="1:14">
      <c r="A70" s="2">
        <v>40009</v>
      </c>
      <c r="B70" s="3" t="s">
        <v>54</v>
      </c>
      <c r="C70">
        <v>78.19</v>
      </c>
      <c r="D70">
        <v>79.739999999999995</v>
      </c>
      <c r="F70">
        <v>3</v>
      </c>
      <c r="G70">
        <v>2000</v>
      </c>
      <c r="H70" s="1">
        <f>(D70-C70)*(G70/100)+$A$3</f>
        <v>32.999999999999943</v>
      </c>
      <c r="I70" s="4">
        <f>H70/9500</f>
        <v>3.4736842105263098E-3</v>
      </c>
      <c r="K70">
        <v>79.757000000000005</v>
      </c>
      <c r="L70" s="2">
        <v>40012</v>
      </c>
      <c r="M70">
        <v>2000</v>
      </c>
      <c r="N70" s="1">
        <f>(C70-K70)*(G70/100)-$A$3</f>
        <v>-33.340000000000146</v>
      </c>
    </row>
    <row r="72" spans="1:14">
      <c r="A72" s="2">
        <v>40012</v>
      </c>
      <c r="B72" s="3" t="s">
        <v>0</v>
      </c>
      <c r="C72">
        <v>168.5</v>
      </c>
      <c r="D72">
        <v>164.3</v>
      </c>
      <c r="F72">
        <v>3</v>
      </c>
      <c r="G72">
        <v>21</v>
      </c>
      <c r="H72" s="1">
        <f>(C72-D72)*G72+$A$2</f>
        <v>98.199999999999761</v>
      </c>
      <c r="I72" s="4">
        <f>H72/11000</f>
        <v>8.9272727272727056E-3</v>
      </c>
      <c r="K72">
        <v>165.58</v>
      </c>
      <c r="L72" s="2">
        <v>40043</v>
      </c>
      <c r="M72">
        <v>21</v>
      </c>
      <c r="N72" s="1">
        <f>((K72-C72)*M72)-$A$2</f>
        <v>-71.319999999999737</v>
      </c>
    </row>
    <row r="74" spans="1:14">
      <c r="A74" s="2">
        <v>40012</v>
      </c>
      <c r="B74" s="3" t="s">
        <v>1</v>
      </c>
      <c r="C74">
        <v>28.97</v>
      </c>
      <c r="D74">
        <v>27.89</v>
      </c>
      <c r="F74">
        <v>3</v>
      </c>
      <c r="G74">
        <v>75</v>
      </c>
      <c r="H74" s="1">
        <f>(C74-D74)*G74+$A$2</f>
        <v>90.999999999999872</v>
      </c>
      <c r="I74" s="4">
        <f>H74/11000</f>
        <v>8.2727272727272615E-3</v>
      </c>
      <c r="K74">
        <v>27.911799999999999</v>
      </c>
      <c r="L74" s="2">
        <v>40032</v>
      </c>
      <c r="M74">
        <v>75</v>
      </c>
      <c r="N74" s="1">
        <f>((K74-C74)*M74)-$A$2</f>
        <v>-89.364999999999952</v>
      </c>
    </row>
    <row r="76" spans="1:14">
      <c r="A76" s="2">
        <v>40036</v>
      </c>
      <c r="B76" s="3" t="s">
        <v>2</v>
      </c>
      <c r="C76">
        <v>57.4099</v>
      </c>
      <c r="D76">
        <v>55.04</v>
      </c>
      <c r="F76">
        <v>3</v>
      </c>
      <c r="G76">
        <v>45</v>
      </c>
      <c r="H76" s="1">
        <f>(C76-D76)*G76+$A$2</f>
        <v>116.64550000000006</v>
      </c>
      <c r="I76" s="4">
        <f>H76/11000</f>
        <v>1.0604136363636369E-2</v>
      </c>
      <c r="K76">
        <v>54.87</v>
      </c>
      <c r="L76" s="2">
        <v>40045</v>
      </c>
      <c r="M76">
        <v>45</v>
      </c>
      <c r="N76" s="1">
        <f>((K76-C76)*M76)-$A$2</f>
        <v>-124.29550000000013</v>
      </c>
    </row>
    <row r="78" spans="1:14">
      <c r="A78" s="2">
        <v>40040</v>
      </c>
      <c r="B78" s="3" t="s">
        <v>3</v>
      </c>
      <c r="C78">
        <v>22.26</v>
      </c>
      <c r="D78">
        <f>C78-(0.41*3)</f>
        <v>21.03</v>
      </c>
      <c r="F78">
        <v>3</v>
      </c>
      <c r="G78">
        <v>80</v>
      </c>
      <c r="H78" s="1">
        <f>(C78-D78)*G78+$A$2</f>
        <v>108.40000000000003</v>
      </c>
      <c r="I78" s="4">
        <f>H78/11000</f>
        <v>9.8545454545454578E-3</v>
      </c>
      <c r="K78">
        <v>21.023</v>
      </c>
      <c r="L78" s="2">
        <v>40068</v>
      </c>
      <c r="M78">
        <v>80</v>
      </c>
      <c r="N78" s="1">
        <f>((K78-C78)*M78)-$A$2</f>
        <v>-108.96000000000015</v>
      </c>
    </row>
    <row r="80" spans="1:14">
      <c r="A80" s="2">
        <v>40044</v>
      </c>
      <c r="B80" s="3" t="s">
        <v>4</v>
      </c>
      <c r="C80">
        <v>1.34169</v>
      </c>
      <c r="D80">
        <f>C80-(3*0.0083)</f>
        <v>1.3167900000000001</v>
      </c>
      <c r="F80">
        <v>3</v>
      </c>
      <c r="G80">
        <v>3000</v>
      </c>
      <c r="H80" s="1">
        <f>(C80-D80)*(G80)+$A$3</f>
        <v>76.699999999999761</v>
      </c>
      <c r="I80" s="4">
        <f>H80/9500</f>
        <v>8.0736842105262902E-3</v>
      </c>
      <c r="K80">
        <v>1.3188200000000001</v>
      </c>
      <c r="L80" s="2">
        <v>40054</v>
      </c>
      <c r="M80">
        <v>3000</v>
      </c>
      <c r="N80" s="1">
        <f>(-C80+K80)*(G80)-$A$3</f>
        <v>-70.609999999999843</v>
      </c>
    </row>
    <row r="82" spans="1:14">
      <c r="A82" s="2">
        <v>40047</v>
      </c>
      <c r="B82" s="3" t="s">
        <v>5</v>
      </c>
      <c r="C82">
        <v>134.77000000000001</v>
      </c>
      <c r="D82">
        <f>C82-(1.77*3)</f>
        <v>129.46</v>
      </c>
      <c r="F82">
        <v>3</v>
      </c>
      <c r="G82">
        <v>15</v>
      </c>
      <c r="H82" s="1">
        <f>(C82-D82)*G82+$A$2</f>
        <v>89.650000000000034</v>
      </c>
      <c r="I82" s="4">
        <f>H82/11000</f>
        <v>8.1500000000000027E-3</v>
      </c>
      <c r="K82">
        <v>128.54</v>
      </c>
      <c r="L82" s="2">
        <v>40067</v>
      </c>
      <c r="M82">
        <v>15</v>
      </c>
      <c r="N82" s="1">
        <f>((K82-C82)*M82)-$A$2</f>
        <v>-103.45000000000027</v>
      </c>
    </row>
    <row r="84" spans="1:14">
      <c r="A84" s="2">
        <v>40051</v>
      </c>
      <c r="B84" s="3" t="s">
        <v>6</v>
      </c>
      <c r="C84">
        <v>29.48</v>
      </c>
      <c r="D84">
        <v>28.5</v>
      </c>
      <c r="F84">
        <v>3</v>
      </c>
      <c r="G84">
        <v>91</v>
      </c>
      <c r="H84" s="1">
        <f>(C84-D84)*G84+$A$2</f>
        <v>99.180000000000035</v>
      </c>
      <c r="I84" s="4">
        <f>H84/11000</f>
        <v>9.0163636363636401E-3</v>
      </c>
      <c r="K84">
        <v>28.370100000000001</v>
      </c>
      <c r="L84" s="2">
        <v>40072</v>
      </c>
      <c r="M84">
        <v>90</v>
      </c>
      <c r="N84" s="1">
        <f>((K84-C84)*M84)-$A$2</f>
        <v>-109.89099999999996</v>
      </c>
    </row>
    <row r="86" spans="1:14">
      <c r="A86" s="2">
        <v>40065</v>
      </c>
      <c r="B86" t="s">
        <v>7</v>
      </c>
      <c r="C86">
        <v>80.558999999999997</v>
      </c>
      <c r="D86">
        <f>C86-(3*1.02)</f>
        <v>77.498999999999995</v>
      </c>
      <c r="F86">
        <v>3</v>
      </c>
      <c r="G86">
        <v>3000</v>
      </c>
      <c r="H86" s="1">
        <f>(C86-D86)*(G86/100)+$A$3</f>
        <v>93.800000000000068</v>
      </c>
      <c r="I86" s="4">
        <f>H86/9500</f>
        <v>9.8736842105263227E-3</v>
      </c>
    </row>
    <row r="88" spans="1:14">
      <c r="A88" s="2">
        <v>40066</v>
      </c>
      <c r="B88" s="5" t="s">
        <v>8</v>
      </c>
      <c r="C88">
        <v>60.41</v>
      </c>
      <c r="D88">
        <f>C88-(3*0.73)</f>
        <v>58.22</v>
      </c>
      <c r="F88">
        <v>3</v>
      </c>
      <c r="G88">
        <v>40</v>
      </c>
      <c r="H88" s="1">
        <f>(C88-D88)*G88+$A$2</f>
        <v>97.599999999999909</v>
      </c>
      <c r="I88" s="4">
        <f>H88/11000</f>
        <v>8.8727272727272648E-3</v>
      </c>
      <c r="K88">
        <v>66.200100000000006</v>
      </c>
      <c r="L88" s="2">
        <v>40104</v>
      </c>
      <c r="M88">
        <v>15</v>
      </c>
      <c r="N88" s="1">
        <f>((K88-C88)*M88)-$A$2</f>
        <v>76.851500000000144</v>
      </c>
    </row>
    <row r="89" spans="1:14">
      <c r="A89" s="2"/>
      <c r="H89" s="1"/>
      <c r="I89" s="4"/>
      <c r="L89" s="2"/>
    </row>
    <row r="91" spans="1:14">
      <c r="A91" s="2">
        <v>40066</v>
      </c>
      <c r="B91" s="5" t="s">
        <v>9</v>
      </c>
      <c r="C91">
        <v>18.32</v>
      </c>
      <c r="D91">
        <f>C91-(3*0.49)</f>
        <v>16.850000000000001</v>
      </c>
      <c r="F91">
        <v>3</v>
      </c>
      <c r="G91">
        <v>59</v>
      </c>
      <c r="H91" s="1">
        <f>(C91-D91)*G91+$A$2</f>
        <v>96.729999999999933</v>
      </c>
      <c r="I91" s="4">
        <f>H91/11000</f>
        <v>8.7936363636363576E-3</v>
      </c>
      <c r="K91">
        <v>21.260100000000001</v>
      </c>
      <c r="L91" s="2">
        <v>40093</v>
      </c>
      <c r="M91">
        <v>17</v>
      </c>
      <c r="N91" s="1">
        <f>((K91-C91)*M91)-$A$2</f>
        <v>39.981700000000018</v>
      </c>
    </row>
    <row r="93" spans="1:14">
      <c r="A93" s="2">
        <v>40067</v>
      </c>
      <c r="B93" s="3" t="s">
        <v>10</v>
      </c>
      <c r="C93">
        <v>25.55</v>
      </c>
      <c r="D93">
        <f>C93-(3*0.21)</f>
        <v>24.92</v>
      </c>
      <c r="F93">
        <v>3</v>
      </c>
      <c r="G93">
        <v>140</v>
      </c>
      <c r="H93" s="1">
        <f>(C93-D93)*G93+$A$2</f>
        <v>98.199999999999861</v>
      </c>
      <c r="I93" s="4">
        <f>H93/11000</f>
        <v>8.9272727272727143E-3</v>
      </c>
      <c r="K93">
        <v>25.160299999999999</v>
      </c>
      <c r="L93" s="2">
        <v>40116</v>
      </c>
      <c r="M93">
        <v>140</v>
      </c>
      <c r="N93" s="1">
        <f>((K93-C93)*M93)-$A$2</f>
        <v>-64.558000000000177</v>
      </c>
    </row>
    <row r="95" spans="1:14">
      <c r="A95" s="2">
        <v>40071</v>
      </c>
      <c r="B95" s="3" t="s">
        <v>11</v>
      </c>
      <c r="C95">
        <v>170.9699</v>
      </c>
      <c r="D95">
        <v>166.38</v>
      </c>
      <c r="F95">
        <v>3</v>
      </c>
      <c r="G95">
        <v>20</v>
      </c>
      <c r="H95" s="1">
        <f>(C95-D95)*G95+$A$2</f>
        <v>101.798</v>
      </c>
      <c r="I95" s="4">
        <f>H95/11000</f>
        <v>9.254363636363637E-3</v>
      </c>
      <c r="K95">
        <v>166.38</v>
      </c>
      <c r="L95" s="2">
        <v>40093</v>
      </c>
      <c r="M95">
        <v>20</v>
      </c>
      <c r="N95" s="1">
        <f>((K95-C95)*M95)-$A$2</f>
        <v>-101.798</v>
      </c>
    </row>
    <row r="97" spans="1:14">
      <c r="A97" s="2">
        <v>40071</v>
      </c>
      <c r="B97" s="5" t="s">
        <v>12</v>
      </c>
      <c r="C97">
        <v>41.789900000000003</v>
      </c>
      <c r="D97">
        <v>40.33</v>
      </c>
      <c r="F97">
        <v>3</v>
      </c>
      <c r="G97">
        <v>66</v>
      </c>
      <c r="H97" s="1">
        <f>(C97-D97)*G97+$A$2</f>
        <v>106.35340000000031</v>
      </c>
      <c r="I97" s="4">
        <f>H97/11000</f>
        <v>9.6684909090909363E-3</v>
      </c>
      <c r="K97">
        <v>42.960099999999997</v>
      </c>
      <c r="L97" s="2">
        <v>40117</v>
      </c>
      <c r="M97">
        <v>66</v>
      </c>
      <c r="N97" s="1">
        <f>((K97-C97)*M97)-$A$2</f>
        <v>67.233199999999613</v>
      </c>
    </row>
    <row r="99" spans="1:14">
      <c r="A99" s="2">
        <v>40073</v>
      </c>
      <c r="B99" s="5" t="s">
        <v>13</v>
      </c>
      <c r="C99">
        <v>1.34589</v>
      </c>
      <c r="D99">
        <f>C99-(3*0.0081285)</f>
        <v>1.3215045000000001</v>
      </c>
      <c r="F99">
        <v>3</v>
      </c>
      <c r="G99">
        <v>4000</v>
      </c>
      <c r="H99" s="1">
        <f>(C99-D99)*(G99)+$A$3</f>
        <v>99.541999999999803</v>
      </c>
      <c r="I99" s="4">
        <f>H99/9500</f>
        <v>1.0478105263157874E-2</v>
      </c>
      <c r="K99">
        <v>1.3472299999999999</v>
      </c>
      <c r="L99" s="2">
        <v>40119</v>
      </c>
      <c r="M99">
        <v>4000</v>
      </c>
      <c r="N99" s="1">
        <f>(-C99+K99)*(G99)-$A$3</f>
        <v>3.3599999999995873</v>
      </c>
    </row>
    <row r="101" spans="1:14">
      <c r="A101" s="2">
        <v>40073</v>
      </c>
      <c r="B101" s="3" t="s">
        <v>57</v>
      </c>
      <c r="C101">
        <v>0.91449000000000003</v>
      </c>
      <c r="D101">
        <f>C101+(3*0.0068355)</f>
        <v>0.93499650000000001</v>
      </c>
      <c r="F101">
        <v>3</v>
      </c>
      <c r="G101">
        <v>4000</v>
      </c>
      <c r="H101" s="1">
        <f>(D101-C101)*(G101)+$A$3</f>
        <v>84.025999999999925</v>
      </c>
      <c r="I101" s="4">
        <f>H101/9500</f>
        <v>8.8448421052631492E-3</v>
      </c>
      <c r="K101">
        <v>0.91790000000000005</v>
      </c>
      <c r="L101" s="2">
        <v>40123</v>
      </c>
      <c r="M101">
        <v>4000</v>
      </c>
      <c r="N101" s="1">
        <f>(-K101+C101)*(M101)-$A$3</f>
        <v>-15.640000000000096</v>
      </c>
    </row>
    <row r="103" spans="1:14">
      <c r="A103" s="2">
        <v>40074</v>
      </c>
      <c r="B103" s="5" t="s">
        <v>14</v>
      </c>
      <c r="C103">
        <v>59.4</v>
      </c>
      <c r="D103">
        <f>C103-(3*0.43)</f>
        <v>58.11</v>
      </c>
      <c r="F103">
        <v>3</v>
      </c>
      <c r="G103">
        <v>65</v>
      </c>
      <c r="H103" s="1">
        <f>(C103-D103)*G103+$A$2</f>
        <v>93.849999999999937</v>
      </c>
      <c r="I103" s="4">
        <f>H103/11000</f>
        <v>8.5318181818181769E-3</v>
      </c>
      <c r="K103">
        <v>59.740099999999998</v>
      </c>
      <c r="L103" s="2">
        <v>40117</v>
      </c>
      <c r="M103">
        <v>65</v>
      </c>
      <c r="N103" s="1">
        <f>((K103-C103)*M103)-$A$2</f>
        <v>12.106499999999976</v>
      </c>
    </row>
    <row r="105" spans="1:14">
      <c r="A105" s="2">
        <v>40117</v>
      </c>
      <c r="B105" s="9" t="s">
        <v>15</v>
      </c>
      <c r="C105">
        <v>11.2</v>
      </c>
      <c r="G105">
        <v>265</v>
      </c>
      <c r="K105">
        <v>11.02</v>
      </c>
      <c r="L105" s="2">
        <v>40147</v>
      </c>
      <c r="M105">
        <v>265</v>
      </c>
      <c r="N105" s="1">
        <f>((K105-C105)*M105)-$A$2</f>
        <v>-57.699999999999925</v>
      </c>
    </row>
    <row r="107" spans="1:14">
      <c r="A107" s="2">
        <v>40137</v>
      </c>
      <c r="B107" t="s">
        <v>16</v>
      </c>
      <c r="C107">
        <v>100.60899999999999</v>
      </c>
      <c r="D107">
        <v>99.5</v>
      </c>
      <c r="E107">
        <v>98.523099999999999</v>
      </c>
      <c r="F107">
        <v>3</v>
      </c>
      <c r="G107">
        <v>4000</v>
      </c>
      <c r="H107" s="1">
        <f>(C107-D107)*(G107/100)+$A$3</f>
        <v>46.359999999999786</v>
      </c>
      <c r="I107" s="4">
        <f>H107/9500</f>
        <v>4.8799999999999772E-3</v>
      </c>
    </row>
    <row r="108" spans="1:14">
      <c r="B108" t="s">
        <v>17</v>
      </c>
      <c r="C108">
        <v>101.64100000000001</v>
      </c>
      <c r="D108">
        <v>99.5</v>
      </c>
      <c r="F108">
        <v>3</v>
      </c>
      <c r="G108">
        <v>4000</v>
      </c>
      <c r="H108" s="1">
        <f>(C108-D108)*(G108/100)+$A$3</f>
        <v>87.640000000000214</v>
      </c>
      <c r="I108" s="4">
        <f>H108/9500</f>
        <v>9.2252631578947589E-3</v>
      </c>
    </row>
    <row r="110" spans="1:14">
      <c r="A110" s="2">
        <v>40147</v>
      </c>
      <c r="B110" s="10" t="s">
        <v>18</v>
      </c>
      <c r="C110">
        <v>29.42</v>
      </c>
      <c r="G110">
        <v>102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POSITIONS</vt:lpstr>
    </vt:vector>
  </TitlesOfParts>
  <Company>Boise State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2013-12-19T21:58:25Z</dcterms:created>
  <dcterms:modified xsi:type="dcterms:W3CDTF">2013-12-19T21:59:14Z</dcterms:modified>
</cp:coreProperties>
</file>